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0240" windowHeight="7420" activeTab="2"/>
  </bookViews>
  <sheets>
    <sheet name="Calcul Pertes" sheetId="1" r:id="rId1"/>
    <sheet name="Caracteristiques cables" sheetId="2" r:id="rId2"/>
    <sheet name="Calcul Batterie" sheetId="3" r:id="rId3"/>
    <sheet name="Caracteristiques batteries" sheetId="4" r:id="rId4"/>
  </sheets>
  <definedNames>
    <definedName name="battery">'Caracteristiques batteries'!$A$23:$L$29</definedName>
    <definedName name="capa_dispo">'Caracteristiques batteries'!$B$33:$J$33</definedName>
    <definedName name="mono_alu">'Caracteristiques cables'!$A$5:$C$10</definedName>
    <definedName name="mono_cuivre">'Caracteristiques cables'!$G$5:$I$19</definedName>
    <definedName name="S_mono_alu">'Caracteristiques cables'!$A$5:$A$10</definedName>
    <definedName name="S_mono_cuivre">'Caracteristiques cables'!$G$5:$G$19</definedName>
    <definedName name="S_tri_alu">'Caracteristiques cables'!$D$5:$D$14</definedName>
    <definedName name="S_tri_cuivre">'Caracteristiques cables'!$J$5:$J$19</definedName>
    <definedName name="test">'Caracteristiques batteries'!$A$23:$A$29</definedName>
    <definedName name="test2">'Caracteristiques batteries'!$A$22:$L$29</definedName>
    <definedName name="tri_alu">'Caracteristiques cables'!$D$5:$F$14</definedName>
    <definedName name="tri_cuivre">'Caracteristiques cables'!$J$5:$L$19</definedName>
    <definedName name="type_batt">'Caracteristiques batteries'!$A$23:$A$28</definedName>
    <definedName name="User">'Caracteristiques batteries'!$D$23:$L$23</definedName>
    <definedName name="V_AGM">'Caracteristiques batteries'!$D$26:$L$26</definedName>
    <definedName name="V_GEL">'Caracteristiques batteries'!$D$27:$F$27</definedName>
    <definedName name="V_Opzs">'Caracteristiques batteries'!$D$29:$L$29</definedName>
    <definedName name="V_Opzv">'Caracteristiques batteries'!$D$28:$F$28</definedName>
  </definedNames>
  <calcPr fullCalcOnLoad="1"/>
</workbook>
</file>

<file path=xl/sharedStrings.xml><?xml version="1.0" encoding="utf-8"?>
<sst xmlns="http://schemas.openxmlformats.org/spreadsheetml/2006/main" count="209" uniqueCount="96">
  <si>
    <t>Calcul des pertes en lignes</t>
  </si>
  <si>
    <t>Puissance</t>
  </si>
  <si>
    <t>W</t>
  </si>
  <si>
    <t>Matériaux</t>
  </si>
  <si>
    <t>Cuivre</t>
  </si>
  <si>
    <t>Longueur</t>
  </si>
  <si>
    <t>m</t>
  </si>
  <si>
    <t>Aluminium</t>
  </si>
  <si>
    <t>Cos phi</t>
  </si>
  <si>
    <t>V</t>
  </si>
  <si>
    <t>Nombre de cable</t>
  </si>
  <si>
    <t>Section</t>
  </si>
  <si>
    <t>mm²</t>
  </si>
  <si>
    <t>Courant</t>
  </si>
  <si>
    <t>A</t>
  </si>
  <si>
    <t>Tension entre phase</t>
  </si>
  <si>
    <t>%</t>
  </si>
  <si>
    <t>Paramètres</t>
  </si>
  <si>
    <t xml:space="preserve">Fonctionnement </t>
  </si>
  <si>
    <t>mm2</t>
  </si>
  <si>
    <t>Courant Max admissible</t>
  </si>
  <si>
    <t>Ω.m-1</t>
  </si>
  <si>
    <t>Ω/m</t>
  </si>
  <si>
    <t>Ω</t>
  </si>
  <si>
    <t>Puissance dissipée</t>
  </si>
  <si>
    <t>jours</t>
  </si>
  <si>
    <t>kWh</t>
  </si>
  <si>
    <t>Wh / jour</t>
  </si>
  <si>
    <t>Capacité</t>
  </si>
  <si>
    <t>Ah</t>
  </si>
  <si>
    <t>Tension de fonctionnement</t>
  </si>
  <si>
    <t>Puissance Max</t>
  </si>
  <si>
    <t>Paramètres de la batterie</t>
  </si>
  <si>
    <t>Paramètres de la demande</t>
  </si>
  <si>
    <t>Energie nécessaire</t>
  </si>
  <si>
    <t>Autonomie du système</t>
  </si>
  <si>
    <t>Nombre d'éléments en série</t>
  </si>
  <si>
    <t>Capacité nécessaire</t>
  </si>
  <si>
    <t>Décharge max</t>
  </si>
  <si>
    <t>Courant max nécessaire</t>
  </si>
  <si>
    <t>Courant Max</t>
  </si>
  <si>
    <t>Tension</t>
  </si>
  <si>
    <t xml:space="preserve">Surdimensionnement en </t>
  </si>
  <si>
    <t>Type de cable</t>
  </si>
  <si>
    <t>Réactance linéique</t>
  </si>
  <si>
    <t>mΩ/m</t>
  </si>
  <si>
    <t>Multiconducteur</t>
  </si>
  <si>
    <t>Tension Vdc</t>
  </si>
  <si>
    <t>Réactance des câble</t>
  </si>
  <si>
    <t>Résistance des câbles</t>
  </si>
  <si>
    <t>Chute de tension</t>
  </si>
  <si>
    <t>Résistance linéiques</t>
  </si>
  <si>
    <t>Pertes en ligne</t>
  </si>
  <si>
    <t>Régime de courant</t>
  </si>
  <si>
    <t>Régime de Courant</t>
  </si>
  <si>
    <t>Capacité décharge 10h</t>
  </si>
  <si>
    <t>Rolls S12-160 AGM</t>
  </si>
  <si>
    <t>h</t>
  </si>
  <si>
    <t>Temps de décharge</t>
  </si>
  <si>
    <t>Type de batterie</t>
  </si>
  <si>
    <t xml:space="preserve">Capacité nominale 10h </t>
  </si>
  <si>
    <t>Victron OPZS</t>
  </si>
  <si>
    <t>Rolls Surrette</t>
  </si>
  <si>
    <t xml:space="preserve">Capacités nominales ( décharge en 10h) </t>
  </si>
  <si>
    <t>Victron Deep Cycle AGM</t>
  </si>
  <si>
    <t>Victron Deep Cycle GEL</t>
  </si>
  <si>
    <t>Victron Long Life GEL OPzV</t>
  </si>
  <si>
    <t xml:space="preserve">Tension (V) </t>
  </si>
  <si>
    <t>Definie par l'utilisateur</t>
  </si>
  <si>
    <t>Puissance Moyenne</t>
  </si>
  <si>
    <t>Régime de Courant moyen</t>
  </si>
  <si>
    <t xml:space="preserve">Capacité (C) </t>
  </si>
  <si>
    <t>Capacité pour ce régime</t>
  </si>
  <si>
    <t xml:space="preserve">Capacité disponibles : </t>
  </si>
  <si>
    <t xml:space="preserve">Type choisi : </t>
  </si>
  <si>
    <t xml:space="preserve">Capacité choisie : </t>
  </si>
  <si>
    <t xml:space="preserve">Régimes de courants dispos : </t>
  </si>
  <si>
    <t>Régime de courant moyen</t>
  </si>
  <si>
    <t>Régime choisi</t>
  </si>
  <si>
    <t xml:space="preserve">Décharge max (A) </t>
  </si>
  <si>
    <t>Nombre d'éléments en parallèle</t>
  </si>
  <si>
    <t>Consommation moyenne</t>
  </si>
  <si>
    <t>Capacité totale</t>
  </si>
  <si>
    <t>Puissance Max totale</t>
  </si>
  <si>
    <t>Energie totale</t>
  </si>
  <si>
    <t>Rendement</t>
  </si>
  <si>
    <t>Capacité réelle</t>
  </si>
  <si>
    <t>en gris : estimaton de la décharge max, n'apparaît pas sur la doc constructeur</t>
  </si>
  <si>
    <t>Triphasé</t>
  </si>
  <si>
    <t>Tripalium</t>
  </si>
  <si>
    <t>Taille du cable</t>
  </si>
  <si>
    <t>Courant maximum admissible</t>
  </si>
  <si>
    <t>Résistivité linéique du cable</t>
  </si>
  <si>
    <t>Pertes pour cable avec 2 conducteurs  et gaine en PVC</t>
  </si>
  <si>
    <t>Pertes pour cable avec 3 conducteurs  et gaine en PVC</t>
  </si>
  <si>
    <t>Dimensionnement du parc batterie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</si>
</sst>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#&quot; &quot;?/1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0" borderId="0" applyNumberFormat="0" applyBorder="0" applyAlignment="0" applyProtection="0"/>
    <xf numFmtId="9" fontId="1" fillId="0" borderId="0" applyFill="0" applyBorder="0" applyAlignment="0" applyProtection="0"/>
    <xf numFmtId="0" fontId="0" fillId="31" borderId="3" applyNumberFormat="0" applyFont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3" borderId="12" xfId="0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Border="1" applyAlignment="1">
      <alignment/>
    </xf>
    <xf numFmtId="0" fontId="0" fillId="35" borderId="12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0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4" fillId="38" borderId="20" xfId="0" applyFont="1" applyFill="1" applyBorder="1" applyAlignment="1">
      <alignment/>
    </xf>
    <xf numFmtId="0" fontId="4" fillId="37" borderId="19" xfId="0" applyFont="1" applyFill="1" applyBorder="1" applyAlignment="1">
      <alignment/>
    </xf>
    <xf numFmtId="0" fontId="4" fillId="37" borderId="20" xfId="0" applyFont="1" applyFill="1" applyBorder="1" applyAlignment="1">
      <alignment/>
    </xf>
    <xf numFmtId="0" fontId="44" fillId="0" borderId="0" xfId="0" applyFont="1" applyAlignment="1">
      <alignment/>
    </xf>
    <xf numFmtId="2" fontId="0" fillId="37" borderId="22" xfId="0" applyNumberFormat="1" applyFill="1" applyBorder="1" applyAlignment="1">
      <alignment/>
    </xf>
    <xf numFmtId="2" fontId="4" fillId="38" borderId="19" xfId="0" applyNumberFormat="1" applyFont="1" applyFill="1" applyBorder="1" applyAlignment="1">
      <alignment/>
    </xf>
    <xf numFmtId="2" fontId="4" fillId="37" borderId="19" xfId="0" applyNumberFormat="1" applyFont="1" applyFill="1" applyBorder="1" applyAlignment="1">
      <alignment/>
    </xf>
    <xf numFmtId="2" fontId="0" fillId="37" borderId="23" xfId="0" applyNumberForma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9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40" borderId="19" xfId="0" applyFill="1" applyBorder="1" applyAlignment="1">
      <alignment/>
    </xf>
    <xf numFmtId="0" fontId="0" fillId="39" borderId="19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37" borderId="24" xfId="0" applyFont="1" applyFill="1" applyBorder="1" applyAlignment="1">
      <alignment horizontal="center"/>
    </xf>
    <xf numFmtId="0" fontId="0" fillId="37" borderId="25" xfId="0" applyFont="1" applyFill="1" applyBorder="1" applyAlignment="1">
      <alignment horizontal="center"/>
    </xf>
    <xf numFmtId="0" fontId="0" fillId="0" borderId="0" xfId="0" applyAlignment="1">
      <alignment shrinkToFit="1"/>
    </xf>
    <xf numFmtId="0" fontId="0" fillId="37" borderId="26" xfId="0" applyFont="1" applyFill="1" applyBorder="1" applyAlignment="1">
      <alignment horizontal="center" vertical="center"/>
    </xf>
    <xf numFmtId="0" fontId="0" fillId="37" borderId="25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4" fillId="41" borderId="25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32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34" xfId="0" applyBorder="1" applyAlignment="1">
      <alignment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6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11" borderId="25" xfId="0" applyFill="1" applyBorder="1" applyAlignment="1">
      <alignment/>
    </xf>
    <xf numFmtId="0" fontId="0" fillId="11" borderId="19" xfId="0" applyFill="1" applyBorder="1" applyAlignment="1">
      <alignment/>
    </xf>
    <xf numFmtId="0" fontId="0" fillId="11" borderId="20" xfId="0" applyFill="1" applyBorder="1" applyAlignment="1">
      <alignment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11" borderId="26" xfId="0" applyFill="1" applyBorder="1" applyAlignment="1">
      <alignment/>
    </xf>
    <xf numFmtId="0" fontId="0" fillId="11" borderId="22" xfId="0" applyFill="1" applyBorder="1" applyAlignment="1">
      <alignment/>
    </xf>
    <xf numFmtId="0" fontId="0" fillId="11" borderId="18" xfId="0" applyFill="1" applyBorder="1" applyAlignment="1">
      <alignment/>
    </xf>
    <xf numFmtId="0" fontId="0" fillId="11" borderId="24" xfId="0" applyFill="1" applyBorder="1" applyAlignment="1">
      <alignment/>
    </xf>
    <xf numFmtId="0" fontId="0" fillId="11" borderId="23" xfId="0" applyFill="1" applyBorder="1" applyAlignment="1">
      <alignment/>
    </xf>
    <xf numFmtId="0" fontId="0" fillId="11" borderId="21" xfId="0" applyFill="1" applyBorder="1" applyAlignment="1">
      <alignment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6" fillId="0" borderId="43" xfId="0" applyFont="1" applyBorder="1" applyAlignment="1">
      <alignment horizontal="center"/>
    </xf>
    <xf numFmtId="0" fontId="0" fillId="11" borderId="44" xfId="0" applyFill="1" applyBorder="1" applyAlignment="1">
      <alignment/>
    </xf>
    <xf numFmtId="0" fontId="0" fillId="0" borderId="44" xfId="0" applyBorder="1" applyAlignment="1">
      <alignment/>
    </xf>
    <xf numFmtId="0" fontId="0" fillId="42" borderId="44" xfId="0" applyFill="1" applyBorder="1" applyAlignment="1">
      <alignment/>
    </xf>
    <xf numFmtId="0" fontId="0" fillId="42" borderId="45" xfId="0" applyFill="1" applyBorder="1" applyAlignment="1">
      <alignment/>
    </xf>
    <xf numFmtId="1" fontId="0" fillId="37" borderId="19" xfId="0" applyNumberFormat="1" applyFill="1" applyBorder="1" applyAlignment="1">
      <alignment/>
    </xf>
    <xf numFmtId="169" fontId="0" fillId="37" borderId="22" xfId="0" applyNumberFormat="1" applyFill="1" applyBorder="1" applyAlignment="1">
      <alignment/>
    </xf>
    <xf numFmtId="169" fontId="0" fillId="37" borderId="19" xfId="0" applyNumberFormat="1" applyFill="1" applyBorder="1" applyAlignment="1">
      <alignment/>
    </xf>
    <xf numFmtId="169" fontId="0" fillId="37" borderId="23" xfId="0" applyNumberFormat="1" applyFill="1" applyBorder="1" applyAlignment="1">
      <alignment/>
    </xf>
    <xf numFmtId="169" fontId="0" fillId="37" borderId="22" xfId="0" applyNumberFormat="1" applyFill="1" applyBorder="1" applyAlignment="1">
      <alignment wrapText="1"/>
    </xf>
    <xf numFmtId="1" fontId="0" fillId="33" borderId="19" xfId="0" applyNumberFormat="1" applyFill="1" applyBorder="1" applyAlignment="1">
      <alignment/>
    </xf>
    <xf numFmtId="2" fontId="0" fillId="40" borderId="19" xfId="0" applyNumberFormat="1" applyFill="1" applyBorder="1" applyAlignment="1">
      <alignment/>
    </xf>
    <xf numFmtId="0" fontId="3" fillId="0" borderId="0" xfId="0" applyFont="1" applyAlignment="1">
      <alignment horizontal="right" vertical="center" wrapText="1"/>
    </xf>
    <xf numFmtId="0" fontId="0" fillId="37" borderId="35" xfId="0" applyFont="1" applyFill="1" applyBorder="1" applyAlignment="1">
      <alignment horizontal="center"/>
    </xf>
    <xf numFmtId="0" fontId="0" fillId="37" borderId="4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7" borderId="32" xfId="0" applyFont="1" applyFill="1" applyBorder="1" applyAlignment="1">
      <alignment horizontal="center"/>
    </xf>
    <xf numFmtId="0" fontId="0" fillId="37" borderId="47" xfId="0" applyFont="1" applyFill="1" applyBorder="1" applyAlignment="1">
      <alignment horizontal="center"/>
    </xf>
    <xf numFmtId="0" fontId="4" fillId="38" borderId="32" xfId="0" applyFont="1" applyFill="1" applyBorder="1" applyAlignment="1">
      <alignment horizontal="center"/>
    </xf>
    <xf numFmtId="0" fontId="4" fillId="38" borderId="47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37" borderId="32" xfId="0" applyFont="1" applyFill="1" applyBorder="1" applyAlignment="1">
      <alignment horizontal="center"/>
    </xf>
    <xf numFmtId="0" fontId="4" fillId="37" borderId="47" xfId="0" applyFont="1" applyFill="1" applyBorder="1" applyAlignment="1">
      <alignment horizontal="center"/>
    </xf>
    <xf numFmtId="0" fontId="0" fillId="37" borderId="48" xfId="0" applyFont="1" applyFill="1" applyBorder="1" applyAlignment="1">
      <alignment horizontal="center"/>
    </xf>
    <xf numFmtId="0" fontId="0" fillId="37" borderId="49" xfId="0" applyFont="1" applyFill="1" applyBorder="1" applyAlignment="1">
      <alignment horizontal="center"/>
    </xf>
    <xf numFmtId="0" fontId="5" fillId="43" borderId="41" xfId="0" applyFont="1" applyFill="1" applyBorder="1" applyAlignment="1">
      <alignment horizontal="center" wrapText="1"/>
    </xf>
    <xf numFmtId="0" fontId="5" fillId="43" borderId="39" xfId="0" applyFont="1" applyFill="1" applyBorder="1" applyAlignment="1">
      <alignment horizontal="center" wrapText="1"/>
    </xf>
    <xf numFmtId="0" fontId="5" fillId="43" borderId="42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44" borderId="44" xfId="0" applyFont="1" applyFill="1" applyBorder="1" applyAlignment="1">
      <alignment horizontal="center"/>
    </xf>
    <xf numFmtId="0" fontId="4" fillId="44" borderId="34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2</xdr:row>
      <xdr:rowOff>85725</xdr:rowOff>
    </xdr:from>
    <xdr:to>
      <xdr:col>3</xdr:col>
      <xdr:colOff>400050</xdr:colOff>
      <xdr:row>8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209675"/>
          <a:ext cx="36480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</xdr:row>
      <xdr:rowOff>66675</xdr:rowOff>
    </xdr:from>
    <xdr:to>
      <xdr:col>1</xdr:col>
      <xdr:colOff>847725</xdr:colOff>
      <xdr:row>1</xdr:row>
      <xdr:rowOff>733425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352425"/>
          <a:ext cx="6762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</xdr:row>
      <xdr:rowOff>66675</xdr:rowOff>
    </xdr:from>
    <xdr:to>
      <xdr:col>1</xdr:col>
      <xdr:colOff>847725</xdr:colOff>
      <xdr:row>2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542925"/>
          <a:ext cx="6762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="106" zoomScaleNormal="106" workbookViewId="0" topLeftCell="A1">
      <selection activeCell="F2" sqref="F2"/>
    </sheetView>
  </sheetViews>
  <sheetFormatPr defaultColWidth="11.421875" defaultRowHeight="15"/>
  <cols>
    <col min="1" max="1" width="22.140625" style="0" customWidth="1"/>
    <col min="2" max="2" width="34.7109375" style="0" customWidth="1"/>
    <col min="3" max="3" width="18.00390625" style="0" bestFit="1" customWidth="1"/>
    <col min="8" max="8" width="17.140625" style="0" customWidth="1"/>
    <col min="11" max="11" width="13.28125" style="0" bestFit="1" customWidth="1"/>
  </cols>
  <sheetData>
    <row r="1" spans="1:7" ht="22.5">
      <c r="A1" s="104" t="s">
        <v>0</v>
      </c>
      <c r="B1" s="104"/>
      <c r="C1" s="104"/>
      <c r="D1" s="104"/>
      <c r="E1" s="104"/>
      <c r="F1" s="104"/>
      <c r="G1" s="104"/>
    </row>
    <row r="2" ht="66" customHeight="1">
      <c r="B2" s="101" t="s">
        <v>89</v>
      </c>
    </row>
    <row r="3" ht="16.5" customHeight="1">
      <c r="A3" s="1"/>
    </row>
    <row r="4" ht="16.5" customHeight="1">
      <c r="A4" s="1"/>
    </row>
    <row r="5" ht="16.5" customHeight="1">
      <c r="A5" s="1"/>
    </row>
    <row r="6" ht="16.5" customHeight="1">
      <c r="A6" s="1"/>
    </row>
    <row r="7" ht="16.5" customHeight="1">
      <c r="A7" s="1"/>
    </row>
    <row r="8" ht="16.5" customHeight="1">
      <c r="A8" s="1"/>
    </row>
    <row r="9" ht="16.5" customHeight="1">
      <c r="A9" s="1"/>
    </row>
    <row r="10" spans="2:4" ht="13.5">
      <c r="B10" s="109" t="s">
        <v>17</v>
      </c>
      <c r="C10" s="110"/>
      <c r="D10" s="111"/>
    </row>
    <row r="11" spans="2:4" ht="13.5">
      <c r="B11" s="20" t="s">
        <v>1</v>
      </c>
      <c r="C11" s="5">
        <v>900</v>
      </c>
      <c r="D11" s="18" t="s">
        <v>2</v>
      </c>
    </row>
    <row r="12" spans="2:4" ht="14.25" customHeight="1">
      <c r="B12" s="21" t="s">
        <v>18</v>
      </c>
      <c r="C12" s="2" t="s">
        <v>88</v>
      </c>
      <c r="D12" s="19"/>
    </row>
    <row r="13" spans="2:4" ht="13.5">
      <c r="B13" s="22" t="s">
        <v>3</v>
      </c>
      <c r="C13" s="2" t="s">
        <v>4</v>
      </c>
      <c r="D13" s="19"/>
    </row>
    <row r="14" spans="2:4" ht="13.5">
      <c r="B14" s="22" t="s">
        <v>5</v>
      </c>
      <c r="C14" s="2">
        <v>8</v>
      </c>
      <c r="D14" s="19" t="s">
        <v>6</v>
      </c>
    </row>
    <row r="15" spans="2:4" ht="13.5">
      <c r="B15" s="22" t="s">
        <v>8</v>
      </c>
      <c r="C15" s="2">
        <v>1</v>
      </c>
      <c r="D15" s="19"/>
    </row>
    <row r="16" spans="2:4" ht="13.5">
      <c r="B16" s="22" t="s">
        <v>47</v>
      </c>
      <c r="C16" s="2">
        <v>12</v>
      </c>
      <c r="D16" s="19" t="s">
        <v>9</v>
      </c>
    </row>
    <row r="17" spans="2:4" ht="13.5">
      <c r="B17" s="35" t="s">
        <v>10</v>
      </c>
      <c r="C17" s="2">
        <v>2</v>
      </c>
      <c r="D17" s="19"/>
    </row>
    <row r="18" spans="2:4" ht="13.5">
      <c r="B18" s="22" t="s">
        <v>43</v>
      </c>
      <c r="C18" s="2" t="s">
        <v>46</v>
      </c>
      <c r="D18" s="19"/>
    </row>
    <row r="19" spans="2:4" ht="13.5">
      <c r="B19" s="22" t="s">
        <v>11</v>
      </c>
      <c r="C19" s="2">
        <v>10</v>
      </c>
      <c r="D19" s="19" t="s">
        <v>12</v>
      </c>
    </row>
    <row r="20" spans="2:5" ht="15" thickBot="1">
      <c r="B20" s="3"/>
      <c r="C20" s="3"/>
      <c r="D20" s="3"/>
      <c r="E20" s="4"/>
    </row>
    <row r="21" spans="2:5" ht="13.5">
      <c r="B21" s="114" t="s">
        <v>15</v>
      </c>
      <c r="C21" s="115"/>
      <c r="D21" s="31">
        <f>IF(C12="Continu",(C16),IF(C12="Monophasé",220,((C16*3.14)/(3*SQRT(6)))))</f>
        <v>5.12759852822612</v>
      </c>
      <c r="E21" s="23" t="s">
        <v>9</v>
      </c>
    </row>
    <row r="22" spans="2:5" ht="13.5">
      <c r="B22" s="105" t="s">
        <v>51</v>
      </c>
      <c r="C22" s="106"/>
      <c r="D22" s="24">
        <f>VLOOKUP(C19,IF($C$13="CUIVRE",IF($C$12="Triphasé",tri_cuivre,mono_cuivre),IF($C$12="Triphasé",tri_alu,mono_alu)),3)</f>
        <v>0.0038</v>
      </c>
      <c r="E22" s="25" t="s">
        <v>22</v>
      </c>
    </row>
    <row r="23" spans="2:5" ht="13.5">
      <c r="B23" s="105" t="s">
        <v>44</v>
      </c>
      <c r="C23" s="106"/>
      <c r="D23" s="24">
        <f>IF(C18="Monoconducteur",0.13,0.08)</f>
        <v>0.08</v>
      </c>
      <c r="E23" s="25" t="s">
        <v>45</v>
      </c>
    </row>
    <row r="24" spans="2:5" ht="13.5">
      <c r="B24" s="107" t="s">
        <v>50</v>
      </c>
      <c r="C24" s="108"/>
      <c r="D24" s="32">
        <f>IF(C12="Triphasé",SQRT(3*(D28^2+D29^2))*D26/2,IF(C12="Continu",D28*D26,D26*SQRT(D28^2+D29^2)))</f>
        <v>1.3342533710265316</v>
      </c>
      <c r="E24" s="27" t="s">
        <v>9</v>
      </c>
    </row>
    <row r="25" spans="2:5" ht="13.5">
      <c r="B25" s="107" t="s">
        <v>52</v>
      </c>
      <c r="C25" s="108"/>
      <c r="D25" s="32">
        <f>D24*100/D21</f>
        <v>26.02101868314783</v>
      </c>
      <c r="E25" s="27" t="s">
        <v>16</v>
      </c>
    </row>
    <row r="26" spans="2:6" ht="13.5">
      <c r="B26" s="112" t="s">
        <v>13</v>
      </c>
      <c r="C26" s="113"/>
      <c r="D26" s="33">
        <f>IF(C12="Triphasé",C11/(SQRT(3)*D21*C15*C17),C11/(D21*C15*C17))</f>
        <v>50.66847954362204</v>
      </c>
      <c r="E26" s="29" t="s">
        <v>14</v>
      </c>
      <c r="F26" s="30" t="str">
        <f>IF(D26&gt;D27,"Attention le courant est trop important"," ")</f>
        <v> </v>
      </c>
    </row>
    <row r="27" spans="2:5" ht="13.5">
      <c r="B27" s="112" t="s">
        <v>20</v>
      </c>
      <c r="C27" s="113"/>
      <c r="D27" s="28">
        <f>VLOOKUP(C19,IF($C$13="CUIVRE",IF($C$12="Triphasé",tri_cuivre,mono_cuivre),IF($C$12="Triphasé",tri_alu,mono_alu)),2)</f>
        <v>58</v>
      </c>
      <c r="E27" s="29" t="s">
        <v>14</v>
      </c>
    </row>
    <row r="28" spans="2:5" ht="13.5">
      <c r="B28" s="105" t="s">
        <v>49</v>
      </c>
      <c r="C28" s="106"/>
      <c r="D28" s="24">
        <f>D22*C14</f>
        <v>0.0304</v>
      </c>
      <c r="E28" s="25" t="s">
        <v>23</v>
      </c>
    </row>
    <row r="29" spans="2:5" ht="13.5">
      <c r="B29" s="105" t="s">
        <v>48</v>
      </c>
      <c r="C29" s="106"/>
      <c r="D29" s="24">
        <f>D23*10^-3*C14</f>
        <v>0.00064</v>
      </c>
      <c r="E29" s="25" t="s">
        <v>23</v>
      </c>
    </row>
    <row r="30" spans="2:5" ht="15" thickBot="1">
      <c r="B30" s="102" t="s">
        <v>24</v>
      </c>
      <c r="C30" s="103"/>
      <c r="D30" s="34">
        <f>D28*D26*D26*C17</f>
        <v>156.09152501115668</v>
      </c>
      <c r="E30" s="26" t="s">
        <v>2</v>
      </c>
    </row>
  </sheetData>
  <sheetProtection selectLockedCells="1" selectUnlockedCells="1"/>
  <mergeCells count="12">
    <mergeCell ref="B29:C29"/>
    <mergeCell ref="B28:C28"/>
    <mergeCell ref="B30:C30"/>
    <mergeCell ref="A1:G1"/>
    <mergeCell ref="B22:C22"/>
    <mergeCell ref="B25:C25"/>
    <mergeCell ref="B10:D10"/>
    <mergeCell ref="B26:C26"/>
    <mergeCell ref="B27:C27"/>
    <mergeCell ref="B24:C24"/>
    <mergeCell ref="B21:C21"/>
    <mergeCell ref="B23:C23"/>
  </mergeCells>
  <conditionalFormatting sqref="D26">
    <cfRule type="colorScale" priority="2" dxfId="0">
      <colorScale>
        <cfvo type="formula" val="0.5*'Calcul Pertes'!$D$27"/>
        <cfvo type="formula" val="0.8*'Calcul Pertes'!$D$27"/>
        <cfvo type="formula" val="'Calcul Pertes'!$D$27"/>
        <color theme="9"/>
        <color rgb="FFFFEB84"/>
        <color rgb="FFFF0000"/>
      </colorScale>
    </cfRule>
  </conditionalFormatting>
  <dataValidations count="4">
    <dataValidation type="list" allowBlank="1" showErrorMessage="1" sqref="C12">
      <formula1>"Triphasé, Continu, Monophasé"</formula1>
    </dataValidation>
    <dataValidation type="list" allowBlank="1" showInputMessage="1" showErrorMessage="1" sqref="C13">
      <formula1>"Aluminium, Cuivre"</formula1>
    </dataValidation>
    <dataValidation type="list" allowBlank="1" showInputMessage="1" showErrorMessage="1" sqref="C19">
      <formula1>IF('Calcul Pertes'!$C$13="CUIVRE",IF('Calcul Pertes'!$C$12="Monophasé",S_mono_cuivre,S_tri_cuivre),IF('Calcul Pertes'!$C$12="Monophasé",S_mono_alu,S_tri_alu))</formula1>
    </dataValidation>
    <dataValidation type="list" allowBlank="1" showInputMessage="1" showErrorMessage="1" sqref="C18">
      <formula1>"Monoconducteur, Multiconducteur"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J2" sqref="J2:L2"/>
    </sheetView>
  </sheetViews>
  <sheetFormatPr defaultColWidth="11.421875" defaultRowHeight="15"/>
  <sheetData>
    <row r="1" spans="1:12" ht="18.75" customHeight="1">
      <c r="A1" s="17" t="s">
        <v>7</v>
      </c>
      <c r="B1" s="17"/>
      <c r="C1" s="17"/>
      <c r="D1" s="17"/>
      <c r="E1" s="17"/>
      <c r="F1" s="17"/>
      <c r="G1" s="17" t="s">
        <v>4</v>
      </c>
      <c r="H1" s="17"/>
      <c r="I1" s="17"/>
      <c r="J1" s="17"/>
      <c r="K1" s="17"/>
      <c r="L1" s="17"/>
    </row>
    <row r="2" spans="1:12" ht="33.75" customHeight="1">
      <c r="A2" s="116" t="s">
        <v>93</v>
      </c>
      <c r="B2" s="117"/>
      <c r="C2" s="118"/>
      <c r="D2" s="116" t="s">
        <v>94</v>
      </c>
      <c r="E2" s="117"/>
      <c r="F2" s="118"/>
      <c r="G2" s="116" t="s">
        <v>93</v>
      </c>
      <c r="H2" s="117"/>
      <c r="I2" s="118"/>
      <c r="J2" s="116" t="s">
        <v>94</v>
      </c>
      <c r="K2" s="117"/>
      <c r="L2" s="118"/>
    </row>
    <row r="3" spans="1:12" ht="64.5" customHeight="1">
      <c r="A3" s="6" t="s">
        <v>90</v>
      </c>
      <c r="B3" s="7" t="s">
        <v>91</v>
      </c>
      <c r="C3" s="7" t="s">
        <v>92</v>
      </c>
      <c r="D3" s="6" t="s">
        <v>90</v>
      </c>
      <c r="E3" s="7" t="s">
        <v>91</v>
      </c>
      <c r="F3" s="7" t="s">
        <v>92</v>
      </c>
      <c r="G3" s="6" t="s">
        <v>90</v>
      </c>
      <c r="H3" s="7" t="s">
        <v>91</v>
      </c>
      <c r="I3" s="7" t="s">
        <v>92</v>
      </c>
      <c r="J3" s="6" t="s">
        <v>90</v>
      </c>
      <c r="K3" s="7" t="s">
        <v>91</v>
      </c>
      <c r="L3" s="7" t="s">
        <v>92</v>
      </c>
    </row>
    <row r="4" spans="1:12" ht="13.5">
      <c r="A4" s="8" t="s">
        <v>19</v>
      </c>
      <c r="B4" s="9" t="s">
        <v>14</v>
      </c>
      <c r="C4" s="9" t="s">
        <v>21</v>
      </c>
      <c r="D4" s="8" t="s">
        <v>19</v>
      </c>
      <c r="E4" s="9" t="s">
        <v>14</v>
      </c>
      <c r="F4" s="9" t="s">
        <v>21</v>
      </c>
      <c r="G4" s="8" t="s">
        <v>19</v>
      </c>
      <c r="H4" s="9" t="s">
        <v>14</v>
      </c>
      <c r="I4" s="9" t="s">
        <v>21</v>
      </c>
      <c r="J4" s="8" t="s">
        <v>19</v>
      </c>
      <c r="K4" s="9" t="s">
        <v>14</v>
      </c>
      <c r="L4" s="9" t="s">
        <v>21</v>
      </c>
    </row>
    <row r="5" spans="1:12" ht="13.5">
      <c r="A5" s="8">
        <v>16</v>
      </c>
      <c r="B5" s="9">
        <v>89</v>
      </c>
      <c r="C5" s="9">
        <v>0.0045</v>
      </c>
      <c r="D5" s="8">
        <v>16</v>
      </c>
      <c r="E5" s="9">
        <v>77</v>
      </c>
      <c r="F5" s="9">
        <v>0.0039</v>
      </c>
      <c r="G5" s="8">
        <v>1.5</v>
      </c>
      <c r="H5" s="9">
        <v>21</v>
      </c>
      <c r="I5" s="10">
        <v>0.029</v>
      </c>
      <c r="J5" s="8">
        <v>1.5</v>
      </c>
      <c r="K5" s="9">
        <v>18</v>
      </c>
      <c r="L5" s="10">
        <v>0.025</v>
      </c>
    </row>
    <row r="6" spans="1:12" ht="13.5">
      <c r="A6" s="8">
        <v>25</v>
      </c>
      <c r="B6" s="9">
        <v>118</v>
      </c>
      <c r="C6" s="9">
        <v>0.0029</v>
      </c>
      <c r="D6" s="8">
        <v>25</v>
      </c>
      <c r="E6" s="9">
        <v>102</v>
      </c>
      <c r="F6" s="9">
        <v>0.0025</v>
      </c>
      <c r="G6" s="8">
        <v>2.5</v>
      </c>
      <c r="H6" s="9">
        <v>28</v>
      </c>
      <c r="I6" s="10">
        <v>0.018</v>
      </c>
      <c r="J6" s="8">
        <v>2.5</v>
      </c>
      <c r="K6" s="9">
        <v>25</v>
      </c>
      <c r="L6" s="10">
        <v>0.015</v>
      </c>
    </row>
    <row r="7" spans="1:12" ht="13.5">
      <c r="A7" s="8">
        <v>35</v>
      </c>
      <c r="B7" s="9">
        <v>145</v>
      </c>
      <c r="C7" s="9">
        <v>0.0021</v>
      </c>
      <c r="D7" s="8">
        <v>35</v>
      </c>
      <c r="E7" s="9">
        <v>125</v>
      </c>
      <c r="F7" s="9">
        <v>0.0018</v>
      </c>
      <c r="G7" s="8">
        <v>4</v>
      </c>
      <c r="H7" s="9">
        <v>38</v>
      </c>
      <c r="I7" s="10">
        <v>0.011</v>
      </c>
      <c r="J7" s="8">
        <v>4</v>
      </c>
      <c r="K7" s="9">
        <v>33</v>
      </c>
      <c r="L7" s="10">
        <v>0.0095</v>
      </c>
    </row>
    <row r="8" spans="1:12" ht="13.5">
      <c r="A8" s="8">
        <v>50</v>
      </c>
      <c r="B8" s="9">
        <v>175</v>
      </c>
      <c r="C8" s="9">
        <v>0.00155</v>
      </c>
      <c r="D8" s="8">
        <v>50</v>
      </c>
      <c r="E8" s="9">
        <v>151</v>
      </c>
      <c r="F8" s="9">
        <v>0.00135</v>
      </c>
      <c r="G8" s="8">
        <v>6</v>
      </c>
      <c r="H8" s="9">
        <v>49</v>
      </c>
      <c r="I8" s="10">
        <v>0.0073</v>
      </c>
      <c r="J8" s="14">
        <v>6</v>
      </c>
      <c r="K8" s="15">
        <v>42</v>
      </c>
      <c r="L8" s="16">
        <v>0.0064</v>
      </c>
    </row>
    <row r="9" spans="1:12" ht="13.5">
      <c r="A9" s="8">
        <v>70</v>
      </c>
      <c r="B9" s="9">
        <v>222</v>
      </c>
      <c r="C9" s="9">
        <v>0.00105</v>
      </c>
      <c r="D9" s="8">
        <v>70</v>
      </c>
      <c r="E9" s="9">
        <v>192</v>
      </c>
      <c r="F9" s="9">
        <v>0.0009</v>
      </c>
      <c r="G9" s="8">
        <v>10</v>
      </c>
      <c r="H9" s="9">
        <v>67</v>
      </c>
      <c r="I9" s="10">
        <v>0.0044</v>
      </c>
      <c r="J9" s="14">
        <v>10</v>
      </c>
      <c r="K9" s="15">
        <v>58</v>
      </c>
      <c r="L9" s="16">
        <v>0.0038</v>
      </c>
    </row>
    <row r="10" spans="1:12" ht="13.5">
      <c r="A10" s="11">
        <v>95</v>
      </c>
      <c r="B10" s="12">
        <v>269</v>
      </c>
      <c r="C10" s="12">
        <v>0.00077</v>
      </c>
      <c r="D10" s="8">
        <v>95</v>
      </c>
      <c r="E10" s="9">
        <v>231</v>
      </c>
      <c r="F10" s="9">
        <v>0.00067</v>
      </c>
      <c r="G10" s="8">
        <v>16</v>
      </c>
      <c r="H10" s="9">
        <v>89</v>
      </c>
      <c r="I10" s="10">
        <v>0.0028</v>
      </c>
      <c r="J10" s="14">
        <v>16</v>
      </c>
      <c r="K10" s="15">
        <v>77</v>
      </c>
      <c r="L10" s="16">
        <v>0.0024</v>
      </c>
    </row>
    <row r="11" spans="4:12" ht="13.5">
      <c r="D11" s="8">
        <v>120</v>
      </c>
      <c r="E11" s="9">
        <v>267</v>
      </c>
      <c r="F11" s="9">
        <v>0.00053</v>
      </c>
      <c r="G11" s="8">
        <v>25</v>
      </c>
      <c r="H11" s="9">
        <v>118</v>
      </c>
      <c r="I11" s="10">
        <v>0.00175</v>
      </c>
      <c r="J11" s="14">
        <v>25</v>
      </c>
      <c r="K11" s="15">
        <v>102</v>
      </c>
      <c r="L11" s="16">
        <v>0.0015</v>
      </c>
    </row>
    <row r="12" spans="4:12" ht="13.5">
      <c r="D12" s="8">
        <v>150</v>
      </c>
      <c r="E12" s="9">
        <v>306</v>
      </c>
      <c r="F12" s="9">
        <v>0.00042</v>
      </c>
      <c r="G12" s="8">
        <v>35</v>
      </c>
      <c r="H12" s="9">
        <v>145</v>
      </c>
      <c r="I12" s="10">
        <v>0.00125</v>
      </c>
      <c r="J12" s="14">
        <v>35</v>
      </c>
      <c r="K12" s="15">
        <v>125</v>
      </c>
      <c r="L12" s="16">
        <v>0.0011</v>
      </c>
    </row>
    <row r="13" spans="4:12" ht="13.5">
      <c r="D13" s="8">
        <v>185</v>
      </c>
      <c r="E13" s="9">
        <v>348</v>
      </c>
      <c r="F13" s="9">
        <v>0.00034</v>
      </c>
      <c r="G13" s="8">
        <v>50</v>
      </c>
      <c r="H13" s="9">
        <v>175</v>
      </c>
      <c r="I13" s="10">
        <v>0.00093</v>
      </c>
      <c r="J13" s="8">
        <v>50</v>
      </c>
      <c r="K13" s="9">
        <v>151</v>
      </c>
      <c r="L13" s="10">
        <v>0.0008</v>
      </c>
    </row>
    <row r="14" spans="4:12" ht="13.5">
      <c r="D14" s="11">
        <v>240</v>
      </c>
      <c r="E14" s="12">
        <v>409</v>
      </c>
      <c r="F14" s="12">
        <v>0.00026</v>
      </c>
      <c r="G14" s="8">
        <v>70</v>
      </c>
      <c r="H14" s="9">
        <v>222</v>
      </c>
      <c r="I14" s="10">
        <v>0.00063</v>
      </c>
      <c r="J14" s="8">
        <v>70</v>
      </c>
      <c r="K14" s="9">
        <v>192</v>
      </c>
      <c r="L14" s="10">
        <v>0.00055</v>
      </c>
    </row>
    <row r="15" spans="7:12" ht="13.5">
      <c r="G15" s="8">
        <v>95</v>
      </c>
      <c r="H15" s="9">
        <v>269</v>
      </c>
      <c r="I15" s="10">
        <v>0.00046</v>
      </c>
      <c r="J15" s="8">
        <v>95</v>
      </c>
      <c r="K15" s="9">
        <v>231</v>
      </c>
      <c r="L15" s="10">
        <v>0.00041</v>
      </c>
    </row>
    <row r="16" spans="7:12" ht="13.5">
      <c r="G16" s="8">
        <v>120</v>
      </c>
      <c r="H16" s="9">
        <v>310</v>
      </c>
      <c r="I16" s="10">
        <v>0.00036</v>
      </c>
      <c r="J16" s="8">
        <v>120</v>
      </c>
      <c r="K16" s="9">
        <v>267</v>
      </c>
      <c r="L16" s="10">
        <v>0.00033</v>
      </c>
    </row>
    <row r="17" spans="7:12" ht="13.5">
      <c r="G17" s="8">
        <v>150</v>
      </c>
      <c r="H17" s="9">
        <v>356</v>
      </c>
      <c r="I17" s="10">
        <v>0.00029</v>
      </c>
      <c r="J17" s="8">
        <v>150</v>
      </c>
      <c r="K17" s="9">
        <v>306</v>
      </c>
      <c r="L17" s="10">
        <v>0.00026000000000000003</v>
      </c>
    </row>
    <row r="18" spans="7:12" ht="13.5">
      <c r="G18" s="8">
        <v>185</v>
      </c>
      <c r="H18" s="9">
        <v>405</v>
      </c>
      <c r="I18" s="10">
        <v>0.00023</v>
      </c>
      <c r="J18" s="8">
        <v>185</v>
      </c>
      <c r="K18" s="9">
        <v>348</v>
      </c>
      <c r="L18" s="10">
        <v>0.00020999999999999998</v>
      </c>
    </row>
    <row r="19" spans="7:12" ht="13.5">
      <c r="G19" s="11">
        <v>240</v>
      </c>
      <c r="H19" s="12">
        <v>476</v>
      </c>
      <c r="I19" s="13">
        <v>0.00018</v>
      </c>
      <c r="J19" s="11">
        <v>240</v>
      </c>
      <c r="K19" s="12">
        <v>409</v>
      </c>
      <c r="L19" s="13">
        <v>0.000165</v>
      </c>
    </row>
    <row r="112" ht="12" customHeight="1"/>
    <row r="113" ht="24.75" customHeight="1"/>
  </sheetData>
  <sheetProtection selectLockedCells="1" selectUnlockedCells="1"/>
  <mergeCells count="4">
    <mergeCell ref="J2:L2"/>
    <mergeCell ref="A2:C2"/>
    <mergeCell ref="D2:F2"/>
    <mergeCell ref="G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2" sqref="A2"/>
    </sheetView>
  </sheetViews>
  <sheetFormatPr defaultColWidth="11.421875" defaultRowHeight="15"/>
  <cols>
    <col min="1" max="1" width="22.140625" style="0" customWidth="1"/>
    <col min="2" max="2" width="34.7109375" style="0" customWidth="1"/>
    <col min="5" max="5" width="6.7109375" style="0" customWidth="1"/>
    <col min="6" max="6" width="6.421875" style="0" customWidth="1"/>
    <col min="7" max="7" width="31.7109375" style="0" customWidth="1"/>
    <col min="8" max="8" width="18.8515625" style="0" customWidth="1"/>
    <col min="9" max="9" width="9.7109375" style="0" customWidth="1"/>
    <col min="10" max="10" width="9.00390625" style="0" customWidth="1"/>
    <col min="12" max="12" width="13.28125" style="0" bestFit="1" customWidth="1"/>
  </cols>
  <sheetData>
    <row r="1" spans="1:8" ht="22.5">
      <c r="A1" s="104" t="s">
        <v>95</v>
      </c>
      <c r="B1" s="104"/>
      <c r="C1" s="104"/>
      <c r="D1" s="104"/>
      <c r="E1" s="104"/>
      <c r="F1" s="104"/>
      <c r="G1" s="104"/>
      <c r="H1" s="104"/>
    </row>
    <row r="3" spans="1:2" ht="66" customHeight="1">
      <c r="A3" s="1"/>
      <c r="B3" s="101" t="s">
        <v>89</v>
      </c>
    </row>
    <row r="6" spans="2:10" ht="13.5">
      <c r="B6" s="119" t="s">
        <v>33</v>
      </c>
      <c r="C6" s="119"/>
      <c r="D6" s="119"/>
      <c r="G6" s="119" t="s">
        <v>32</v>
      </c>
      <c r="H6" s="119"/>
      <c r="I6" s="119"/>
      <c r="J6" s="4"/>
    </row>
    <row r="7" spans="2:9" ht="13.5">
      <c r="B7" s="36" t="s">
        <v>35</v>
      </c>
      <c r="C7" s="37">
        <v>4</v>
      </c>
      <c r="D7" s="38" t="s">
        <v>25</v>
      </c>
      <c r="G7" s="36" t="s">
        <v>59</v>
      </c>
      <c r="H7" s="122" t="s">
        <v>65</v>
      </c>
      <c r="I7" s="122"/>
    </row>
    <row r="8" spans="2:10" ht="14.25" customHeight="1">
      <c r="B8" s="39" t="s">
        <v>81</v>
      </c>
      <c r="C8" s="37">
        <v>1000</v>
      </c>
      <c r="D8" s="38" t="s">
        <v>27</v>
      </c>
      <c r="G8" s="36" t="s">
        <v>60</v>
      </c>
      <c r="H8" s="37">
        <v>100</v>
      </c>
      <c r="I8" s="38" t="s">
        <v>29</v>
      </c>
      <c r="J8" s="4"/>
    </row>
    <row r="9" spans="2:9" ht="13.5">
      <c r="B9" s="36" t="s">
        <v>30</v>
      </c>
      <c r="C9" s="37">
        <v>12</v>
      </c>
      <c r="D9" s="38" t="s">
        <v>9</v>
      </c>
      <c r="G9" s="36" t="s">
        <v>30</v>
      </c>
      <c r="H9" s="38">
        <f>VLOOKUP(H7,battery,2)</f>
        <v>12</v>
      </c>
      <c r="I9" s="38" t="s">
        <v>9</v>
      </c>
    </row>
    <row r="10" spans="2:9" ht="13.5">
      <c r="B10" s="36" t="s">
        <v>31</v>
      </c>
      <c r="C10" s="37">
        <v>1000</v>
      </c>
      <c r="D10" s="38" t="s">
        <v>2</v>
      </c>
      <c r="G10" s="36" t="s">
        <v>38</v>
      </c>
      <c r="H10" s="100">
        <f>VLOOKUP(H7,battery,3)</f>
        <v>490.77</v>
      </c>
      <c r="I10" s="38" t="s">
        <v>14</v>
      </c>
    </row>
    <row r="11" spans="2:9" ht="13.5">
      <c r="B11" s="36" t="s">
        <v>69</v>
      </c>
      <c r="C11" s="37">
        <v>700</v>
      </c>
      <c r="D11" s="38" t="s">
        <v>2</v>
      </c>
      <c r="G11" s="36" t="s">
        <v>85</v>
      </c>
      <c r="H11" s="99">
        <v>60</v>
      </c>
      <c r="I11" s="38" t="s">
        <v>16</v>
      </c>
    </row>
    <row r="12" ht="15" thickBot="1"/>
    <row r="13" spans="2:9" ht="33.75" customHeight="1">
      <c r="B13" s="45" t="s">
        <v>34</v>
      </c>
      <c r="C13" s="95">
        <f>C7*C8/1000</f>
        <v>4</v>
      </c>
      <c r="D13" s="23" t="s">
        <v>26</v>
      </c>
      <c r="G13" s="45" t="s">
        <v>53</v>
      </c>
      <c r="H13" s="98">
        <f>'Caracteristiques batteries'!B37</f>
        <v>70.11</v>
      </c>
      <c r="I13" s="23" t="s">
        <v>14</v>
      </c>
    </row>
    <row r="14" spans="2:9" ht="13.5">
      <c r="B14" s="46" t="s">
        <v>37</v>
      </c>
      <c r="C14" s="96">
        <f>C13*1000/C9</f>
        <v>333.3333333333333</v>
      </c>
      <c r="D14" s="25" t="s">
        <v>29</v>
      </c>
      <c r="G14" s="43" t="s">
        <v>72</v>
      </c>
      <c r="H14" s="96">
        <f>'Caracteristiques batteries'!B38</f>
        <v>70.11</v>
      </c>
      <c r="I14" s="25" t="s">
        <v>29</v>
      </c>
    </row>
    <row r="15" spans="2:9" ht="13.5">
      <c r="B15" s="46" t="s">
        <v>70</v>
      </c>
      <c r="C15" s="96">
        <f>C11/C9</f>
        <v>58.333333333333336</v>
      </c>
      <c r="D15" s="25" t="s">
        <v>14</v>
      </c>
      <c r="G15" s="43" t="s">
        <v>86</v>
      </c>
      <c r="H15" s="96">
        <f>H14*H11/100</f>
        <v>42.066</v>
      </c>
      <c r="I15" s="25" t="s">
        <v>29</v>
      </c>
    </row>
    <row r="16" spans="2:9" ht="15" thickBot="1">
      <c r="B16" s="47" t="s">
        <v>39</v>
      </c>
      <c r="C16" s="97">
        <f>C10/C9</f>
        <v>83.33333333333333</v>
      </c>
      <c r="D16" s="26" t="s">
        <v>14</v>
      </c>
      <c r="G16" s="43" t="s">
        <v>36</v>
      </c>
      <c r="H16" s="94">
        <f>ROUNDUP(C9/H9,0)</f>
        <v>1</v>
      </c>
      <c r="I16" s="25"/>
    </row>
    <row r="17" spans="7:9" ht="13.5">
      <c r="G17" s="43" t="s">
        <v>80</v>
      </c>
      <c r="H17" s="94">
        <f>ROUNDUP(MAX(C14/H15,C16/H10),0)</f>
        <v>8</v>
      </c>
      <c r="I17" s="25"/>
    </row>
    <row r="18" spans="7:9" ht="13.5">
      <c r="G18" s="48" t="s">
        <v>42</v>
      </c>
      <c r="H18" s="120" t="str">
        <f>IF((C14/H14)&gt;(C16/H10),"Puissance","Energie")</f>
        <v>Puissance</v>
      </c>
      <c r="I18" s="121"/>
    </row>
    <row r="19" spans="7:9" ht="13.5">
      <c r="G19" s="43" t="s">
        <v>82</v>
      </c>
      <c r="H19" s="96">
        <f>H17*H15</f>
        <v>336.528</v>
      </c>
      <c r="I19" s="25" t="s">
        <v>29</v>
      </c>
    </row>
    <row r="20" spans="7:9" ht="13.5">
      <c r="G20" s="43" t="s">
        <v>40</v>
      </c>
      <c r="H20" s="96">
        <f>H10*H17</f>
        <v>3926.16</v>
      </c>
      <c r="I20" s="25" t="s">
        <v>14</v>
      </c>
    </row>
    <row r="21" spans="7:9" ht="13.5">
      <c r="G21" s="43" t="s">
        <v>41</v>
      </c>
      <c r="H21" s="94">
        <f>H16*H9</f>
        <v>12</v>
      </c>
      <c r="I21" s="25" t="s">
        <v>9</v>
      </c>
    </row>
    <row r="22" spans="7:9" ht="13.5">
      <c r="G22" s="43" t="s">
        <v>83</v>
      </c>
      <c r="H22" s="96">
        <f>H21*H20</f>
        <v>47113.92</v>
      </c>
      <c r="I22" s="25" t="s">
        <v>2</v>
      </c>
    </row>
    <row r="23" spans="7:9" ht="15" thickBot="1">
      <c r="G23" s="42" t="s">
        <v>84</v>
      </c>
      <c r="H23" s="97">
        <f>H19*H21/1000</f>
        <v>4.038336</v>
      </c>
      <c r="I23" s="26" t="s">
        <v>26</v>
      </c>
    </row>
  </sheetData>
  <sheetProtection selectLockedCells="1" selectUnlockedCells="1"/>
  <mergeCells count="5">
    <mergeCell ref="G6:I6"/>
    <mergeCell ref="H18:I18"/>
    <mergeCell ref="A1:H1"/>
    <mergeCell ref="B6:D6"/>
    <mergeCell ref="H7:I7"/>
  </mergeCells>
  <dataValidations count="3">
    <dataValidation allowBlank="1" showErrorMessage="1" sqref="C8"/>
    <dataValidation type="list" allowBlank="1" showInputMessage="1" showErrorMessage="1" prompt="Pensez à selectionner la capacité après le type de batterie&#10;" sqref="H7:I7">
      <formula1>test</formula1>
    </dataValidation>
    <dataValidation type="list" allowBlank="1" showInputMessage="1" showErrorMessage="1" sqref="H8">
      <formula1>capa_dispo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zoomScale="66" zoomScaleNormal="66" workbookViewId="0" topLeftCell="A1">
      <selection activeCell="D2" sqref="D2:F2"/>
    </sheetView>
  </sheetViews>
  <sheetFormatPr defaultColWidth="11.421875" defaultRowHeight="15"/>
  <cols>
    <col min="1" max="1" width="32.28125" style="0" customWidth="1"/>
    <col min="2" max="2" width="19.140625" style="0" bestFit="1" customWidth="1"/>
    <col min="3" max="3" width="23.140625" style="0" bestFit="1" customWidth="1"/>
    <col min="4" max="4" width="26.140625" style="0" customWidth="1"/>
    <col min="5" max="5" width="13.7109375" style="0" customWidth="1"/>
    <col min="6" max="6" width="10.421875" style="0" customWidth="1"/>
    <col min="9" max="9" width="15.8515625" style="0" customWidth="1"/>
  </cols>
  <sheetData>
    <row r="1" spans="3:21" s="44" customFormat="1" ht="15" thickBot="1">
      <c r="C1" s="41" t="s">
        <v>68</v>
      </c>
      <c r="F1" s="41" t="s">
        <v>56</v>
      </c>
      <c r="G1" s="41"/>
      <c r="H1" s="41"/>
      <c r="I1" s="41" t="s">
        <v>62</v>
      </c>
      <c r="J1" s="41"/>
      <c r="K1" s="41"/>
      <c r="L1" s="41" t="s">
        <v>64</v>
      </c>
      <c r="M1" s="41"/>
      <c r="N1" s="41"/>
      <c r="O1" s="41" t="s">
        <v>65</v>
      </c>
      <c r="P1" s="41"/>
      <c r="Q1" s="41"/>
      <c r="R1" s="41" t="s">
        <v>66</v>
      </c>
      <c r="S1" s="41"/>
      <c r="T1" s="41"/>
      <c r="U1" s="41" t="s">
        <v>61</v>
      </c>
    </row>
    <row r="2" spans="1:21" ht="39.75" customHeight="1">
      <c r="A2" s="128" t="s">
        <v>68</v>
      </c>
      <c r="B2" s="123"/>
      <c r="C2" s="124"/>
      <c r="D2" s="128" t="s">
        <v>56</v>
      </c>
      <c r="E2" s="123"/>
      <c r="F2" s="124"/>
      <c r="G2" s="128" t="s">
        <v>62</v>
      </c>
      <c r="H2" s="123"/>
      <c r="I2" s="124"/>
      <c r="J2" s="128" t="s">
        <v>64</v>
      </c>
      <c r="K2" s="123"/>
      <c r="L2" s="124"/>
      <c r="M2" s="128" t="s">
        <v>65</v>
      </c>
      <c r="N2" s="123"/>
      <c r="O2" s="124"/>
      <c r="P2" s="128" t="s">
        <v>66</v>
      </c>
      <c r="Q2" s="123"/>
      <c r="R2" s="124"/>
      <c r="S2" s="123" t="s">
        <v>61</v>
      </c>
      <c r="T2" s="123"/>
      <c r="U2" s="124"/>
    </row>
    <row r="3" spans="1:21" ht="15" customHeight="1">
      <c r="A3" s="55" t="s">
        <v>55</v>
      </c>
      <c r="B3" s="56">
        <f>$B$34</f>
        <v>100</v>
      </c>
      <c r="C3" s="57" t="s">
        <v>29</v>
      </c>
      <c r="D3" s="55" t="s">
        <v>55</v>
      </c>
      <c r="E3" s="56">
        <v>121.5</v>
      </c>
      <c r="F3" s="57" t="s">
        <v>29</v>
      </c>
      <c r="G3" s="55" t="s">
        <v>55</v>
      </c>
      <c r="H3" s="56">
        <v>567</v>
      </c>
      <c r="I3" s="57" t="s">
        <v>29</v>
      </c>
      <c r="J3" s="55" t="s">
        <v>55</v>
      </c>
      <c r="K3" s="56">
        <f>$B$34</f>
        <v>100</v>
      </c>
      <c r="L3" s="57" t="s">
        <v>29</v>
      </c>
      <c r="M3" s="55" t="s">
        <v>55</v>
      </c>
      <c r="N3" s="56">
        <f>$B$34</f>
        <v>100</v>
      </c>
      <c r="O3" s="57" t="s">
        <v>29</v>
      </c>
      <c r="P3" s="55" t="s">
        <v>55</v>
      </c>
      <c r="Q3" s="56">
        <f>$B$34</f>
        <v>100</v>
      </c>
      <c r="R3" s="57" t="s">
        <v>29</v>
      </c>
      <c r="S3" s="56" t="s">
        <v>55</v>
      </c>
      <c r="T3" s="56">
        <f>$B$34</f>
        <v>100</v>
      </c>
      <c r="U3" s="57" t="s">
        <v>29</v>
      </c>
    </row>
    <row r="4" spans="1:21" ht="48.75" customHeight="1">
      <c r="A4" s="58" t="s">
        <v>54</v>
      </c>
      <c r="B4" s="59" t="s">
        <v>58</v>
      </c>
      <c r="C4" s="60" t="s">
        <v>28</v>
      </c>
      <c r="D4" s="58" t="s">
        <v>54</v>
      </c>
      <c r="E4" s="59" t="s">
        <v>58</v>
      </c>
      <c r="F4" s="60" t="s">
        <v>28</v>
      </c>
      <c r="G4" s="58" t="s">
        <v>54</v>
      </c>
      <c r="H4" s="59" t="s">
        <v>58</v>
      </c>
      <c r="I4" s="60" t="s">
        <v>28</v>
      </c>
      <c r="J4" s="58" t="s">
        <v>54</v>
      </c>
      <c r="K4" s="59" t="s">
        <v>58</v>
      </c>
      <c r="L4" s="60" t="s">
        <v>28</v>
      </c>
      <c r="M4" s="58" t="s">
        <v>54</v>
      </c>
      <c r="N4" s="59" t="s">
        <v>58</v>
      </c>
      <c r="O4" s="60" t="s">
        <v>28</v>
      </c>
      <c r="P4" s="58" t="s">
        <v>54</v>
      </c>
      <c r="Q4" s="59" t="s">
        <v>58</v>
      </c>
      <c r="R4" s="60" t="s">
        <v>28</v>
      </c>
      <c r="S4" s="61" t="s">
        <v>54</v>
      </c>
      <c r="T4" s="59" t="s">
        <v>58</v>
      </c>
      <c r="U4" s="60" t="s">
        <v>71</v>
      </c>
    </row>
    <row r="5" spans="1:21" ht="15" thickBot="1">
      <c r="A5" s="77" t="s">
        <v>14</v>
      </c>
      <c r="B5" s="78" t="s">
        <v>57</v>
      </c>
      <c r="C5" s="79" t="s">
        <v>29</v>
      </c>
      <c r="D5" s="62" t="s">
        <v>14</v>
      </c>
      <c r="E5" s="63" t="s">
        <v>57</v>
      </c>
      <c r="F5" s="64" t="s">
        <v>29</v>
      </c>
      <c r="G5" s="62" t="s">
        <v>14</v>
      </c>
      <c r="H5" s="63" t="s">
        <v>57</v>
      </c>
      <c r="I5" s="64" t="s">
        <v>29</v>
      </c>
      <c r="J5" s="62" t="s">
        <v>14</v>
      </c>
      <c r="K5" s="63" t="s">
        <v>57</v>
      </c>
      <c r="L5" s="64" t="s">
        <v>29</v>
      </c>
      <c r="M5" s="62" t="s">
        <v>14</v>
      </c>
      <c r="N5" s="63" t="s">
        <v>57</v>
      </c>
      <c r="O5" s="64" t="s">
        <v>29</v>
      </c>
      <c r="P5" s="62" t="s">
        <v>14</v>
      </c>
      <c r="Q5" s="63" t="s">
        <v>57</v>
      </c>
      <c r="R5" s="64" t="s">
        <v>29</v>
      </c>
      <c r="S5" s="65" t="s">
        <v>14</v>
      </c>
      <c r="T5" s="65" t="s">
        <v>57</v>
      </c>
      <c r="U5" s="66" t="s">
        <v>29</v>
      </c>
    </row>
    <row r="6" spans="1:21" ht="13.5">
      <c r="A6" s="80"/>
      <c r="B6" s="81"/>
      <c r="C6" s="82"/>
      <c r="D6" s="9">
        <v>76.7</v>
      </c>
      <c r="E6" s="9">
        <v>1</v>
      </c>
      <c r="F6" s="49">
        <f>D6*E6</f>
        <v>76.7</v>
      </c>
      <c r="G6" s="50">
        <v>232</v>
      </c>
      <c r="H6" s="9">
        <v>1</v>
      </c>
      <c r="I6" s="49">
        <f aca="true" t="shared" si="0" ref="I6:I20">G6*H6</f>
        <v>232</v>
      </c>
      <c r="J6" s="50">
        <f aca="true" t="shared" si="1" ref="J6:J11">L6/K6</f>
        <v>119.56</v>
      </c>
      <c r="K6" s="9">
        <v>0.5</v>
      </c>
      <c r="L6" s="49">
        <f>0.5978*K3</f>
        <v>59.78</v>
      </c>
      <c r="M6" s="50">
        <f aca="true" t="shared" si="2" ref="M6:M11">O6/N6</f>
        <v>117.24000000000001</v>
      </c>
      <c r="N6" s="9">
        <v>0.5</v>
      </c>
      <c r="O6" s="49">
        <f>0.5862*N3</f>
        <v>58.620000000000005</v>
      </c>
      <c r="P6" s="50">
        <f aca="true" t="shared" si="3" ref="P6:P11">R6/Q6</f>
        <v>90</v>
      </c>
      <c r="Q6" s="9">
        <v>0.5</v>
      </c>
      <c r="R6" s="49">
        <f>0.45*Q3</f>
        <v>45</v>
      </c>
      <c r="S6" s="9">
        <f>U6/T6</f>
        <v>30</v>
      </c>
      <c r="T6" s="9">
        <v>2</v>
      </c>
      <c r="U6" s="49">
        <f>0.6*T3</f>
        <v>60</v>
      </c>
    </row>
    <row r="7" spans="1:21" ht="13.5">
      <c r="A7" s="74"/>
      <c r="B7" s="75"/>
      <c r="C7" s="76"/>
      <c r="D7" s="9">
        <v>43.7</v>
      </c>
      <c r="E7" s="9">
        <v>2</v>
      </c>
      <c r="F7" s="49">
        <f aca="true" t="shared" si="4" ref="F7:F14">D7*E7</f>
        <v>87.4</v>
      </c>
      <c r="G7" s="50">
        <v>164</v>
      </c>
      <c r="H7" s="9">
        <v>2</v>
      </c>
      <c r="I7" s="49">
        <f t="shared" si="0"/>
        <v>328</v>
      </c>
      <c r="J7" s="50">
        <f t="shared" si="1"/>
        <v>70.65</v>
      </c>
      <c r="K7" s="9">
        <v>1</v>
      </c>
      <c r="L7" s="49">
        <f>0.7065*K3</f>
        <v>70.65</v>
      </c>
      <c r="M7" s="50">
        <f t="shared" si="2"/>
        <v>70.11</v>
      </c>
      <c r="N7" s="9">
        <v>1</v>
      </c>
      <c r="O7" s="49">
        <f>0.7011*N3</f>
        <v>70.11</v>
      </c>
      <c r="P7" s="50">
        <f t="shared" si="3"/>
        <v>63</v>
      </c>
      <c r="Q7" s="9">
        <v>1</v>
      </c>
      <c r="R7" s="49">
        <f>0.63*Q3</f>
        <v>63</v>
      </c>
      <c r="S7" s="9">
        <f>U7/T7</f>
        <v>17</v>
      </c>
      <c r="T7" s="9">
        <v>5</v>
      </c>
      <c r="U7" s="49">
        <f>0.85*T3</f>
        <v>85</v>
      </c>
    </row>
    <row r="8" spans="1:21" ht="13.5">
      <c r="A8" s="74"/>
      <c r="B8" s="75"/>
      <c r="C8" s="76"/>
      <c r="D8" s="9">
        <v>31.7</v>
      </c>
      <c r="E8" s="9">
        <v>3</v>
      </c>
      <c r="F8" s="49">
        <f t="shared" si="4"/>
        <v>95.1</v>
      </c>
      <c r="G8" s="50">
        <v>127</v>
      </c>
      <c r="H8" s="9">
        <v>3</v>
      </c>
      <c r="I8" s="49">
        <f t="shared" si="0"/>
        <v>381</v>
      </c>
      <c r="J8" s="50">
        <f t="shared" si="1"/>
        <v>28.266666666666666</v>
      </c>
      <c r="K8" s="9">
        <v>3</v>
      </c>
      <c r="L8" s="49">
        <f>0.848*K3</f>
        <v>84.8</v>
      </c>
      <c r="M8" s="50">
        <f t="shared" si="2"/>
        <v>27.97</v>
      </c>
      <c r="N8" s="9">
        <v>3</v>
      </c>
      <c r="O8" s="49">
        <f>0.8391*N3</f>
        <v>83.91</v>
      </c>
      <c r="P8" s="50">
        <f t="shared" si="3"/>
        <v>26.333333333333332</v>
      </c>
      <c r="Q8" s="9">
        <v>3</v>
      </c>
      <c r="R8" s="49">
        <f>0.79*Q3</f>
        <v>79</v>
      </c>
      <c r="S8" s="9">
        <f>U8/T8</f>
        <v>10</v>
      </c>
      <c r="T8" s="9">
        <v>10</v>
      </c>
      <c r="U8" s="49">
        <f>T3</f>
        <v>100</v>
      </c>
    </row>
    <row r="9" spans="1:21" ht="13.5">
      <c r="A9" s="74"/>
      <c r="B9" s="75"/>
      <c r="C9" s="76"/>
      <c r="D9" s="9">
        <v>21.4</v>
      </c>
      <c r="E9" s="9">
        <v>5</v>
      </c>
      <c r="F9" s="49">
        <f t="shared" si="4"/>
        <v>107</v>
      </c>
      <c r="G9" s="50">
        <v>106</v>
      </c>
      <c r="H9" s="9">
        <v>4</v>
      </c>
      <c r="I9" s="49">
        <f t="shared" si="0"/>
        <v>424</v>
      </c>
      <c r="J9" s="50">
        <f t="shared" si="1"/>
        <v>18.48</v>
      </c>
      <c r="K9" s="9">
        <v>5</v>
      </c>
      <c r="L9" s="49">
        <f>0.924*K3</f>
        <v>92.4</v>
      </c>
      <c r="M9" s="50">
        <f t="shared" si="2"/>
        <v>18.39</v>
      </c>
      <c r="N9" s="9">
        <v>5</v>
      </c>
      <c r="O9" s="49">
        <f>0.9195*N3</f>
        <v>91.95</v>
      </c>
      <c r="P9" s="50">
        <f t="shared" si="3"/>
        <v>18.8</v>
      </c>
      <c r="Q9" s="9">
        <v>5</v>
      </c>
      <c r="R9" s="49">
        <f>0.94*Q3</f>
        <v>94</v>
      </c>
      <c r="S9" s="9">
        <f>U9/T9</f>
        <v>5</v>
      </c>
      <c r="T9" s="9">
        <v>24</v>
      </c>
      <c r="U9" s="49">
        <f>1.2*T3</f>
        <v>120</v>
      </c>
    </row>
    <row r="10" spans="1:21" ht="13.5">
      <c r="A10" s="74"/>
      <c r="B10" s="75"/>
      <c r="C10" s="76"/>
      <c r="D10" s="9">
        <v>14.7</v>
      </c>
      <c r="E10" s="9">
        <v>8</v>
      </c>
      <c r="F10" s="49">
        <f t="shared" si="4"/>
        <v>117.6</v>
      </c>
      <c r="G10" s="50">
        <v>92</v>
      </c>
      <c r="H10" s="9">
        <v>5</v>
      </c>
      <c r="I10" s="49">
        <f t="shared" si="0"/>
        <v>460</v>
      </c>
      <c r="J10" s="50">
        <f t="shared" si="1"/>
        <v>10</v>
      </c>
      <c r="K10" s="9">
        <v>10</v>
      </c>
      <c r="L10" s="49">
        <f>K3</f>
        <v>100</v>
      </c>
      <c r="M10" s="50">
        <f t="shared" si="2"/>
        <v>10</v>
      </c>
      <c r="N10" s="9">
        <v>10</v>
      </c>
      <c r="O10" s="49">
        <f>N3</f>
        <v>100</v>
      </c>
      <c r="P10" s="50">
        <f t="shared" si="3"/>
        <v>10</v>
      </c>
      <c r="Q10" s="9">
        <v>10</v>
      </c>
      <c r="R10" s="49">
        <f>Q3</f>
        <v>100</v>
      </c>
      <c r="S10" s="9">
        <f>U10/T10</f>
        <v>1.5625</v>
      </c>
      <c r="T10" s="9">
        <v>96</v>
      </c>
      <c r="U10" s="49">
        <f>1.5*T3</f>
        <v>150</v>
      </c>
    </row>
    <row r="11" spans="1:21" ht="13.5">
      <c r="A11" s="74"/>
      <c r="B11" s="75"/>
      <c r="C11" s="76"/>
      <c r="D11" s="9">
        <v>12.15</v>
      </c>
      <c r="E11" s="9">
        <v>10</v>
      </c>
      <c r="F11" s="49">
        <f t="shared" si="4"/>
        <v>121.5</v>
      </c>
      <c r="G11" s="50">
        <v>80.8</v>
      </c>
      <c r="H11" s="9">
        <v>6</v>
      </c>
      <c r="I11" s="49">
        <f t="shared" si="0"/>
        <v>484.79999999999995</v>
      </c>
      <c r="J11" s="50">
        <f t="shared" si="1"/>
        <v>5.4350000000000005</v>
      </c>
      <c r="K11" s="9">
        <v>20</v>
      </c>
      <c r="L11" s="49">
        <f>1.087*K3</f>
        <v>108.7</v>
      </c>
      <c r="M11" s="50">
        <f t="shared" si="2"/>
        <v>5.745</v>
      </c>
      <c r="N11" s="9">
        <v>20</v>
      </c>
      <c r="O11" s="49">
        <f>1.149*N3</f>
        <v>114.9</v>
      </c>
      <c r="P11" s="50">
        <f t="shared" si="3"/>
        <v>5.6000000000000005</v>
      </c>
      <c r="Q11" s="9">
        <v>20</v>
      </c>
      <c r="R11" s="49">
        <f>1.12*Q3</f>
        <v>112.00000000000001</v>
      </c>
      <c r="S11" s="9"/>
      <c r="T11" s="9"/>
      <c r="U11" s="49"/>
    </row>
    <row r="12" spans="1:21" ht="13.5">
      <c r="A12" s="74"/>
      <c r="B12" s="75"/>
      <c r="C12" s="76"/>
      <c r="D12" s="40">
        <v>10.35</v>
      </c>
      <c r="E12" s="9">
        <v>12</v>
      </c>
      <c r="F12" s="49">
        <f t="shared" si="4"/>
        <v>124.19999999999999</v>
      </c>
      <c r="G12" s="50">
        <v>66.6</v>
      </c>
      <c r="H12" s="9">
        <v>8</v>
      </c>
      <c r="I12" s="49">
        <f t="shared" si="0"/>
        <v>532.8</v>
      </c>
      <c r="J12" s="50"/>
      <c r="K12" s="9"/>
      <c r="L12" s="49"/>
      <c r="M12" s="50"/>
      <c r="N12" s="9"/>
      <c r="O12" s="49"/>
      <c r="P12" s="50"/>
      <c r="Q12" s="9"/>
      <c r="R12" s="49"/>
      <c r="S12" s="9"/>
      <c r="T12" s="9"/>
      <c r="U12" s="49"/>
    </row>
    <row r="13" spans="1:21" ht="13.5">
      <c r="A13" s="74"/>
      <c r="B13" s="75"/>
      <c r="C13" s="76"/>
      <c r="D13" s="40">
        <v>7.25</v>
      </c>
      <c r="E13" s="9">
        <v>20</v>
      </c>
      <c r="F13" s="49">
        <f t="shared" si="4"/>
        <v>145</v>
      </c>
      <c r="G13" s="50">
        <v>56.7</v>
      </c>
      <c r="H13" s="9">
        <v>10</v>
      </c>
      <c r="I13" s="49">
        <f t="shared" si="0"/>
        <v>567</v>
      </c>
      <c r="J13" s="50"/>
      <c r="K13" s="9"/>
      <c r="L13" s="49"/>
      <c r="M13" s="50"/>
      <c r="N13" s="9"/>
      <c r="O13" s="49"/>
      <c r="P13" s="50"/>
      <c r="Q13" s="9"/>
      <c r="R13" s="49"/>
      <c r="S13" s="9"/>
      <c r="T13" s="9"/>
      <c r="U13" s="49"/>
    </row>
    <row r="14" spans="1:21" ht="13.5">
      <c r="A14" s="74"/>
      <c r="B14" s="75"/>
      <c r="C14" s="76"/>
      <c r="D14" s="40">
        <v>6.15</v>
      </c>
      <c r="E14" s="9">
        <v>24</v>
      </c>
      <c r="F14" s="49">
        <f t="shared" si="4"/>
        <v>147.60000000000002</v>
      </c>
      <c r="G14" s="50">
        <v>49.5</v>
      </c>
      <c r="H14" s="9">
        <v>12</v>
      </c>
      <c r="I14" s="49">
        <f t="shared" si="0"/>
        <v>594</v>
      </c>
      <c r="J14" s="50"/>
      <c r="K14" s="9"/>
      <c r="L14" s="49"/>
      <c r="M14" s="50"/>
      <c r="N14" s="9"/>
      <c r="O14" s="49"/>
      <c r="P14" s="50"/>
      <c r="Q14" s="9"/>
      <c r="R14" s="49"/>
      <c r="S14" s="9"/>
      <c r="T14" s="9"/>
      <c r="U14" s="49"/>
    </row>
    <row r="15" spans="1:21" ht="13.5">
      <c r="A15" s="74"/>
      <c r="B15" s="75"/>
      <c r="C15" s="76"/>
      <c r="D15" s="9"/>
      <c r="E15" s="9"/>
      <c r="F15" s="49"/>
      <c r="G15" s="50">
        <v>42.3</v>
      </c>
      <c r="H15" s="9">
        <v>15</v>
      </c>
      <c r="I15" s="49">
        <f t="shared" si="0"/>
        <v>634.5</v>
      </c>
      <c r="J15" s="50"/>
      <c r="K15" s="9"/>
      <c r="L15" s="49"/>
      <c r="M15" s="50"/>
      <c r="N15" s="9"/>
      <c r="O15" s="49"/>
      <c r="P15" s="50"/>
      <c r="Q15" s="9"/>
      <c r="R15" s="49"/>
      <c r="S15" s="9"/>
      <c r="T15" s="9"/>
      <c r="U15" s="49"/>
    </row>
    <row r="16" spans="1:21" ht="13.5">
      <c r="A16" s="74"/>
      <c r="B16" s="75"/>
      <c r="C16" s="76"/>
      <c r="D16" s="9"/>
      <c r="E16" s="9"/>
      <c r="F16" s="49"/>
      <c r="G16" s="50">
        <v>34.2</v>
      </c>
      <c r="H16" s="9">
        <v>20</v>
      </c>
      <c r="I16" s="49">
        <f t="shared" si="0"/>
        <v>684</v>
      </c>
      <c r="J16" s="50"/>
      <c r="K16" s="9"/>
      <c r="L16" s="49"/>
      <c r="M16" s="50"/>
      <c r="N16" s="9"/>
      <c r="O16" s="49"/>
      <c r="P16" s="50"/>
      <c r="Q16" s="9"/>
      <c r="R16" s="49"/>
      <c r="S16" s="9"/>
      <c r="T16" s="9"/>
      <c r="U16" s="49"/>
    </row>
    <row r="17" spans="1:21" ht="13.5">
      <c r="A17" s="74"/>
      <c r="B17" s="75"/>
      <c r="C17" s="76"/>
      <c r="D17" s="9"/>
      <c r="E17" s="9"/>
      <c r="F17" s="49"/>
      <c r="G17" s="50">
        <v>29.6</v>
      </c>
      <c r="H17" s="9">
        <v>24</v>
      </c>
      <c r="I17" s="49">
        <f t="shared" si="0"/>
        <v>710.4000000000001</v>
      </c>
      <c r="J17" s="50"/>
      <c r="K17" s="9"/>
      <c r="L17" s="49"/>
      <c r="M17" s="50"/>
      <c r="N17" s="9"/>
      <c r="O17" s="49"/>
      <c r="P17" s="50"/>
      <c r="Q17" s="9"/>
      <c r="R17" s="49"/>
      <c r="S17" s="9"/>
      <c r="T17" s="9"/>
      <c r="U17" s="49"/>
    </row>
    <row r="18" spans="1:21" ht="13.5">
      <c r="A18" s="74"/>
      <c r="B18" s="75"/>
      <c r="C18" s="76"/>
      <c r="D18" s="9"/>
      <c r="E18" s="9"/>
      <c r="F18" s="49"/>
      <c r="G18" s="50">
        <v>16.8</v>
      </c>
      <c r="H18" s="9">
        <v>50</v>
      </c>
      <c r="I18" s="49">
        <f t="shared" si="0"/>
        <v>840</v>
      </c>
      <c r="J18" s="50"/>
      <c r="K18" s="9"/>
      <c r="L18" s="49"/>
      <c r="M18" s="50"/>
      <c r="N18" s="9"/>
      <c r="O18" s="49"/>
      <c r="P18" s="50"/>
      <c r="Q18" s="9"/>
      <c r="R18" s="49"/>
      <c r="S18" s="9"/>
      <c r="T18" s="9"/>
      <c r="U18" s="49"/>
    </row>
    <row r="19" spans="1:21" ht="13.5">
      <c r="A19" s="74"/>
      <c r="B19" s="75"/>
      <c r="C19" s="76"/>
      <c r="D19" s="9"/>
      <c r="E19" s="9"/>
      <c r="F19" s="49"/>
      <c r="G19" s="50">
        <v>12.62</v>
      </c>
      <c r="H19" s="9">
        <v>72</v>
      </c>
      <c r="I19" s="49">
        <f t="shared" si="0"/>
        <v>908.64</v>
      </c>
      <c r="J19" s="50"/>
      <c r="K19" s="9"/>
      <c r="L19" s="49"/>
      <c r="M19" s="50"/>
      <c r="N19" s="9"/>
      <c r="O19" s="49"/>
      <c r="P19" s="50"/>
      <c r="Q19" s="9"/>
      <c r="R19" s="49"/>
      <c r="S19" s="9"/>
      <c r="T19" s="9"/>
      <c r="U19" s="49"/>
    </row>
    <row r="20" spans="1:21" ht="15" thickBot="1">
      <c r="A20" s="83"/>
      <c r="B20" s="84"/>
      <c r="C20" s="85"/>
      <c r="D20" s="52"/>
      <c r="E20" s="52"/>
      <c r="F20" s="53"/>
      <c r="G20" s="51">
        <v>9.63</v>
      </c>
      <c r="H20" s="52">
        <v>100</v>
      </c>
      <c r="I20" s="53">
        <f t="shared" si="0"/>
        <v>963.0000000000001</v>
      </c>
      <c r="J20" s="51"/>
      <c r="K20" s="52"/>
      <c r="L20" s="53"/>
      <c r="M20" s="51"/>
      <c r="N20" s="52"/>
      <c r="O20" s="53"/>
      <c r="P20" s="51"/>
      <c r="Q20" s="52"/>
      <c r="R20" s="53"/>
      <c r="S20" s="52"/>
      <c r="T20" s="52"/>
      <c r="U20" s="53"/>
    </row>
    <row r="21" ht="15" thickBot="1"/>
    <row r="22" spans="1:12" ht="18">
      <c r="A22" s="72" t="s">
        <v>59</v>
      </c>
      <c r="B22" s="73" t="s">
        <v>67</v>
      </c>
      <c r="C22" s="89" t="s">
        <v>79</v>
      </c>
      <c r="D22" s="125" t="s">
        <v>63</v>
      </c>
      <c r="E22" s="126"/>
      <c r="F22" s="126"/>
      <c r="G22" s="126"/>
      <c r="H22" s="126"/>
      <c r="I22" s="126"/>
      <c r="J22" s="126"/>
      <c r="K22" s="126"/>
      <c r="L22" s="127"/>
    </row>
    <row r="23" spans="1:12" ht="13.5">
      <c r="A23" s="74" t="s">
        <v>68</v>
      </c>
      <c r="B23" s="75"/>
      <c r="C23" s="90"/>
      <c r="D23" s="74"/>
      <c r="E23" s="75"/>
      <c r="F23" s="75"/>
      <c r="G23" s="75"/>
      <c r="H23" s="75"/>
      <c r="I23" s="75"/>
      <c r="J23" s="75"/>
      <c r="K23" s="75"/>
      <c r="L23" s="76"/>
    </row>
    <row r="24" spans="1:12" ht="13.5">
      <c r="A24" s="67" t="s">
        <v>56</v>
      </c>
      <c r="B24" s="54">
        <v>12</v>
      </c>
      <c r="C24" s="91">
        <v>1400</v>
      </c>
      <c r="D24" s="67">
        <v>121.5</v>
      </c>
      <c r="E24" s="54"/>
      <c r="F24" s="54"/>
      <c r="G24" s="54"/>
      <c r="H24" s="54"/>
      <c r="I24" s="54"/>
      <c r="J24" s="54"/>
      <c r="K24" s="54"/>
      <c r="L24" s="68"/>
    </row>
    <row r="25" spans="1:12" ht="13.5">
      <c r="A25" s="67" t="s">
        <v>62</v>
      </c>
      <c r="B25" s="54">
        <v>6</v>
      </c>
      <c r="C25" s="92">
        <f>8*232</f>
        <v>1856</v>
      </c>
      <c r="D25" s="67">
        <v>567</v>
      </c>
      <c r="E25" s="54"/>
      <c r="F25" s="54"/>
      <c r="G25" s="54"/>
      <c r="H25" s="54"/>
      <c r="I25" s="54"/>
      <c r="J25" s="54"/>
      <c r="K25" s="54"/>
      <c r="L25" s="68"/>
    </row>
    <row r="26" spans="1:12" ht="13.5">
      <c r="A26" s="67" t="s">
        <v>64</v>
      </c>
      <c r="B26" s="54">
        <v>12</v>
      </c>
      <c r="C26" s="91">
        <f>8*J7</f>
        <v>565.2</v>
      </c>
      <c r="D26" s="67">
        <v>12</v>
      </c>
      <c r="E26" s="54">
        <v>35</v>
      </c>
      <c r="F26" s="54">
        <v>55</v>
      </c>
      <c r="G26" s="54">
        <v>60</v>
      </c>
      <c r="H26" s="54">
        <v>80</v>
      </c>
      <c r="I26" s="54">
        <v>100</v>
      </c>
      <c r="J26" s="54">
        <v>120</v>
      </c>
      <c r="K26" s="54">
        <v>150</v>
      </c>
      <c r="L26" s="68">
        <v>200</v>
      </c>
    </row>
    <row r="27" spans="1:12" ht="13.5">
      <c r="A27" s="67" t="s">
        <v>65</v>
      </c>
      <c r="B27" s="54">
        <v>12</v>
      </c>
      <c r="C27" s="91">
        <f>7*M7</f>
        <v>490.77</v>
      </c>
      <c r="D27" s="67">
        <v>55</v>
      </c>
      <c r="E27" s="54">
        <v>60</v>
      </c>
      <c r="F27" s="54">
        <v>80</v>
      </c>
      <c r="G27" s="54">
        <v>100</v>
      </c>
      <c r="H27" s="54">
        <v>120</v>
      </c>
      <c r="I27" s="54">
        <v>150</v>
      </c>
      <c r="J27" s="54">
        <v>200</v>
      </c>
      <c r="K27" s="54"/>
      <c r="L27" s="68"/>
    </row>
    <row r="28" spans="1:12" ht="13.5">
      <c r="A28" s="67" t="s">
        <v>66</v>
      </c>
      <c r="B28" s="54">
        <v>2</v>
      </c>
      <c r="C28" s="92">
        <f>8*P7</f>
        <v>504</v>
      </c>
      <c r="D28" s="67">
        <v>800</v>
      </c>
      <c r="E28" s="54">
        <v>1000</v>
      </c>
      <c r="F28" s="54">
        <v>1500</v>
      </c>
      <c r="G28" s="54">
        <v>2000</v>
      </c>
      <c r="H28" s="54">
        <v>3000</v>
      </c>
      <c r="I28" s="54"/>
      <c r="J28" s="54"/>
      <c r="K28" s="54"/>
      <c r="L28" s="68"/>
    </row>
    <row r="29" spans="1:12" ht="15" thickBot="1">
      <c r="A29" s="69" t="s">
        <v>61</v>
      </c>
      <c r="B29" s="70">
        <v>24</v>
      </c>
      <c r="C29" s="93">
        <f>16*S6</f>
        <v>480</v>
      </c>
      <c r="D29" s="69">
        <v>600</v>
      </c>
      <c r="E29" s="70">
        <v>800</v>
      </c>
      <c r="F29" s="70">
        <v>1000</v>
      </c>
      <c r="G29" s="70">
        <v>1200</v>
      </c>
      <c r="H29" s="70">
        <v>1400</v>
      </c>
      <c r="I29" s="70">
        <v>1500</v>
      </c>
      <c r="J29" s="70">
        <v>2000</v>
      </c>
      <c r="K29" s="70">
        <v>2500</v>
      </c>
      <c r="L29" s="71">
        <v>3000</v>
      </c>
    </row>
    <row r="30" ht="13.5">
      <c r="C30" t="s">
        <v>87</v>
      </c>
    </row>
    <row r="32" spans="1:16" ht="13.5">
      <c r="A32" s="86" t="s">
        <v>74</v>
      </c>
      <c r="B32" s="87" t="str">
        <f>'Calcul Batterie'!H7</f>
        <v>Victron Deep Cycle GEL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8"/>
    </row>
    <row r="33" spans="1:16" ht="13.5">
      <c r="A33" s="8" t="s">
        <v>73</v>
      </c>
      <c r="B33" s="9">
        <f>VLOOKUP($B$32,battery,4)</f>
        <v>55</v>
      </c>
      <c r="C33" s="9">
        <f>IF(VLOOKUP($B$32,battery,5)=0,"",VLOOKUP($B$32,battery,5))</f>
        <v>60</v>
      </c>
      <c r="D33" s="9">
        <f>IF(VLOOKUP($B$32,battery,6)=0,"",VLOOKUP($B$32,battery,6))</f>
        <v>80</v>
      </c>
      <c r="E33" s="9">
        <f>IF(VLOOKUP($B$32,battery,7)=0,"",VLOOKUP($B$32,battery,7))</f>
        <v>100</v>
      </c>
      <c r="F33" s="9">
        <f>IF(VLOOKUP($B$32,battery,8)=0,"",VLOOKUP($B$32,battery,8))</f>
        <v>120</v>
      </c>
      <c r="G33" s="9">
        <f>IF(VLOOKUP($B$32,battery,9)=0,"",VLOOKUP($B$32,battery,9))</f>
        <v>150</v>
      </c>
      <c r="H33" s="9">
        <f>IF(VLOOKUP($B$32,battery,10)=0,"",VLOOKUP($B$32,battery,10))</f>
        <v>200</v>
      </c>
      <c r="I33" s="9">
        <f>IF(VLOOKUP($B$32,battery,11)=0,"",VLOOKUP($B$32,battery,11))</f>
      </c>
      <c r="J33" s="9">
        <f>IF(VLOOKUP($B$32,battery,12)=0,"",VLOOKUP($B$32,battery,12))</f>
      </c>
      <c r="K33" s="9"/>
      <c r="L33" s="9"/>
      <c r="M33" s="9"/>
      <c r="N33" s="9"/>
      <c r="O33" s="9"/>
      <c r="P33" s="10"/>
    </row>
    <row r="34" spans="1:16" ht="13.5">
      <c r="A34" s="8" t="s">
        <v>75</v>
      </c>
      <c r="B34" s="9">
        <f>'Calcul Batterie'!H8</f>
        <v>100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/>
    </row>
    <row r="35" spans="1:16" ht="13.5">
      <c r="A35" s="8" t="s">
        <v>77</v>
      </c>
      <c r="B35" s="9">
        <f>'Calcul Batterie'!C15</f>
        <v>58.333333333333336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0"/>
    </row>
    <row r="36" spans="1:16" ht="13.5">
      <c r="A36" s="8" t="s">
        <v>76</v>
      </c>
      <c r="B36" s="9">
        <f>HLOOKUP(B32,A2:U20,5)</f>
        <v>117.24000000000001</v>
      </c>
      <c r="C36" s="9">
        <f>HLOOKUP(B32,A2:U20,6)</f>
        <v>70.11</v>
      </c>
      <c r="D36" s="9">
        <f>HLOOKUP(B32,A2:U20,7)</f>
        <v>27.97</v>
      </c>
      <c r="E36" s="9">
        <f>HLOOKUP(B32,A2:U20,8)</f>
        <v>18.39</v>
      </c>
      <c r="F36" s="9">
        <f>HLOOKUP(B32,A2:U20,9)</f>
        <v>10</v>
      </c>
      <c r="G36" s="9">
        <f>HLOOKUP(B32,A2:U20,10)</f>
        <v>5.745</v>
      </c>
      <c r="H36" s="9">
        <f>HLOOKUP(B32,A2:U20,11)</f>
        <v>0</v>
      </c>
      <c r="I36" s="9">
        <f>HLOOKUP(B32,A2:U20,12)</f>
        <v>0</v>
      </c>
      <c r="J36" s="9">
        <f>HLOOKUP(B32,A2:U20,13)</f>
        <v>0</v>
      </c>
      <c r="K36" s="9">
        <f>HLOOKUP(B32,A2:U20,12)</f>
        <v>0</v>
      </c>
      <c r="L36" s="9">
        <f>HLOOKUP(B32,A2:U20,15)</f>
        <v>0</v>
      </c>
      <c r="M36" s="9">
        <f>HLOOKUP(B32,A2:U20,16)</f>
        <v>0</v>
      </c>
      <c r="N36" s="9">
        <f>HLOOKUP(B32,A2:U20,17)</f>
        <v>0</v>
      </c>
      <c r="O36" s="9">
        <f>HLOOKUP(B32,A2:U20,18)</f>
        <v>0</v>
      </c>
      <c r="P36" s="10">
        <f>HLOOKUP(B32,A2:U20,19)</f>
        <v>0</v>
      </c>
    </row>
    <row r="37" spans="1:16" ht="13.5">
      <c r="A37" s="8" t="s">
        <v>78</v>
      </c>
      <c r="B37" s="9">
        <f>IF(B35&gt;B36,"Puissance moyenne trop grande",INDEX(B36:P36,MATCH(B35,B36:P36,-1)))</f>
        <v>70.11</v>
      </c>
      <c r="C37" s="9">
        <f>MATCH(B37,B36:P36,-1)</f>
        <v>2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0"/>
    </row>
    <row r="38" spans="1:16" ht="13.5">
      <c r="A38" s="11" t="s">
        <v>72</v>
      </c>
      <c r="B38" s="12">
        <f>HLOOKUP(B32,A1:U20,C37+5)</f>
        <v>70.11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</row>
  </sheetData>
  <sheetProtection selectLockedCells="1" selectUnlockedCells="1"/>
  <mergeCells count="8">
    <mergeCell ref="S2:U2"/>
    <mergeCell ref="D22:L22"/>
    <mergeCell ref="A2:C2"/>
    <mergeCell ref="D2:F2"/>
    <mergeCell ref="G2:I2"/>
    <mergeCell ref="J2:L2"/>
    <mergeCell ref="M2:O2"/>
    <mergeCell ref="P2:R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Cgangneux</dc:creator>
  <cp:keywords/>
  <dc:description/>
  <cp:lastModifiedBy>gael CESA</cp:lastModifiedBy>
  <dcterms:created xsi:type="dcterms:W3CDTF">2016-05-31T15:46:24Z</dcterms:created>
  <dcterms:modified xsi:type="dcterms:W3CDTF">2016-06-16T20:03:48Z</dcterms:modified>
  <cp:category/>
  <cp:version/>
  <cp:contentType/>
  <cp:contentStatus/>
</cp:coreProperties>
</file>